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395" windowHeight="7170" activeTab="0"/>
  </bookViews>
  <sheets>
    <sheet name="Filter Resistor Values" sheetId="1" r:id="rId1"/>
    <sheet name="Notch and boost EQ" sheetId="2" r:id="rId2"/>
    <sheet name="Shelving filters" sheetId="3" r:id="rId3"/>
    <sheet name="All Pass" sheetId="4" r:id="rId4"/>
  </sheets>
  <definedNames/>
  <calcPr fullCalcOnLoad="1"/>
</workbook>
</file>

<file path=xl/comments1.xml><?xml version="1.0" encoding="utf-8"?>
<comments xmlns="http://schemas.openxmlformats.org/spreadsheetml/2006/main">
  <authors>
    <author>Bob Elllis</author>
  </authors>
  <commentList>
    <comment ref="C11" authorId="0">
      <text>
        <r>
          <rPr>
            <b/>
            <sz val="8"/>
            <rFont val="Tahoma"/>
            <family val="0"/>
          </rPr>
          <t>Bob Elllis:</t>
        </r>
        <r>
          <rPr>
            <sz val="8"/>
            <rFont val="Tahoma"/>
            <family val="0"/>
          </rPr>
          <t xml:space="preserve">
Enter desired capacitor value.  Try to keep it &gt;10 nf
Standard capacitor Values are the following list, multiplied by 1, 10, 100, 1000, etc.
1
1.2
1.5
1.8
2.2
2.7
3.3
3.9
4.7
5.6
6.8
8.2</t>
        </r>
      </text>
    </comment>
  </commentList>
</comments>
</file>

<file path=xl/comments2.xml><?xml version="1.0" encoding="utf-8"?>
<comments xmlns="http://schemas.openxmlformats.org/spreadsheetml/2006/main">
  <authors>
    <author>Bob Elllis</author>
  </authors>
  <commentList>
    <comment ref="A41" authorId="0">
      <text>
        <r>
          <rPr>
            <b/>
            <sz val="8"/>
            <rFont val="Tahoma"/>
            <family val="0"/>
          </rPr>
          <t>Bob Elllis:</t>
        </r>
        <r>
          <rPr>
            <sz val="8"/>
            <rFont val="Tahoma"/>
            <family val="0"/>
          </rPr>
          <t xml:space="preserve">
3 db down points of peak you want to tame or 3 dB up from bottom of notch</t>
        </r>
      </text>
    </comment>
    <comment ref="B50" authorId="0">
      <text>
        <r>
          <rPr>
            <b/>
            <sz val="8"/>
            <rFont val="Tahoma"/>
            <family val="0"/>
          </rPr>
          <t>Bob Elllis:</t>
        </r>
        <r>
          <rPr>
            <sz val="8"/>
            <rFont val="Tahoma"/>
            <family val="0"/>
          </rPr>
          <t xml:space="preserve">
Jumper this position</t>
        </r>
      </text>
    </comment>
    <comment ref="B63" authorId="0">
      <text>
        <r>
          <rPr>
            <b/>
            <sz val="8"/>
            <rFont val="Tahoma"/>
            <family val="0"/>
          </rPr>
          <t>Bob Elllis:</t>
        </r>
        <r>
          <rPr>
            <sz val="8"/>
            <rFont val="Tahoma"/>
            <family val="0"/>
          </rPr>
          <t xml:space="preserve">
Jumper this position</t>
        </r>
      </text>
    </comment>
    <comment ref="B15" authorId="0">
      <text>
        <r>
          <rPr>
            <b/>
            <sz val="8"/>
            <rFont val="Tahoma"/>
            <family val="0"/>
          </rPr>
          <t>Bob Elllis:</t>
        </r>
        <r>
          <rPr>
            <sz val="8"/>
            <rFont val="Tahoma"/>
            <family val="0"/>
          </rPr>
          <t xml:space="preserve">
Jumper this position</t>
        </r>
      </text>
    </comment>
    <comment ref="B27" authorId="0">
      <text>
        <r>
          <rPr>
            <b/>
            <sz val="8"/>
            <rFont val="Tahoma"/>
            <family val="0"/>
          </rPr>
          <t>Bob Elllis:</t>
        </r>
        <r>
          <rPr>
            <sz val="8"/>
            <rFont val="Tahoma"/>
            <family val="0"/>
          </rPr>
          <t xml:space="preserve">
Jumper this position</t>
        </r>
      </text>
    </comment>
    <comment ref="B11" authorId="0">
      <text>
        <r>
          <rPr>
            <b/>
            <sz val="8"/>
            <rFont val="Tahoma"/>
            <family val="0"/>
          </rPr>
          <t>Standard capacitor Values are the following list, multiplied by 1, 10, 100, 1000, etc.
1
1.2
1.5
1.8
2.2
2.7
3.3
3.9
4.7
5.6
6.8
8.2</t>
        </r>
      </text>
    </comment>
    <comment ref="B25" authorId="0">
      <text>
        <r>
          <rPr>
            <b/>
            <sz val="8"/>
            <rFont val="Tahoma"/>
            <family val="0"/>
          </rPr>
          <t>Standard capacitor Values are the following list, multiplied by 1, 10, 100, 1000, etc.
1
1.2
1.5
1.8
2.2
2.7
3.3
3.9
4.7
5.6
6.8
8.2</t>
        </r>
      </text>
    </comment>
    <comment ref="B45" authorId="0">
      <text>
        <r>
          <rPr>
            <b/>
            <sz val="8"/>
            <rFont val="Tahoma"/>
            <family val="0"/>
          </rPr>
          <t>Standard capacitor Values are the following list, multiplied by 1, 10, 100, 1000, etc.
1
1.2
1.5
1.8
2.2
2.7
3.3
3.9
4.7
5.6
6.8
8.2</t>
        </r>
      </text>
    </comment>
    <comment ref="B60" authorId="0">
      <text>
        <r>
          <rPr>
            <b/>
            <sz val="8"/>
            <rFont val="Tahoma"/>
            <family val="0"/>
          </rPr>
          <t>Standard capacitor Values are the following list, multiplied by 1, 10, 100, 1000, etc.
1
1.2
1.5
1.8
2.2
2.7
3.3
3.9
4.7
5.6
6.8
8.2</t>
        </r>
      </text>
    </comment>
    <comment ref="A56" authorId="0">
      <text>
        <r>
          <rPr>
            <b/>
            <sz val="8"/>
            <rFont val="Tahoma"/>
            <family val="0"/>
          </rPr>
          <t>Bob Elllis:</t>
        </r>
        <r>
          <rPr>
            <sz val="8"/>
            <rFont val="Tahoma"/>
            <family val="0"/>
          </rPr>
          <t xml:space="preserve">
3 db down points of peak you want to tame or 3 dB up from bottom of notch</t>
        </r>
      </text>
    </comment>
  </commentList>
</comments>
</file>

<file path=xl/comments3.xml><?xml version="1.0" encoding="utf-8"?>
<comments xmlns="http://schemas.openxmlformats.org/spreadsheetml/2006/main">
  <authors>
    <author>Bob Elllis</author>
  </authors>
  <commentList>
    <comment ref="F7" authorId="0">
      <text>
        <r>
          <rPr>
            <b/>
            <sz val="8"/>
            <rFont val="Tahoma"/>
            <family val="0"/>
          </rPr>
          <t>Bob Elllis:</t>
        </r>
        <r>
          <rPr>
            <sz val="8"/>
            <rFont val="Tahoma"/>
            <family val="0"/>
          </rPr>
          <t xml:space="preserve">
Use "The Edge" to determine center frequency of correction needed.
Use midpoint of correction slope between dipole rolloff and 1/2 octave below XO</t>
        </r>
      </text>
    </comment>
    <comment ref="F8" authorId="0">
      <text>
        <r>
          <rPr>
            <b/>
            <sz val="8"/>
            <rFont val="Tahoma"/>
            <family val="0"/>
          </rPr>
          <t>Standard capacitor Values are the following list, multiplied by 1, 10, 100, 1000, etc.
1
1.2
1.5
1.8
2.2
2.7
3.3
3.9
4.7
5.6
6.8
8.2</t>
        </r>
      </text>
    </comment>
    <comment ref="F6" authorId="0">
      <text>
        <r>
          <rPr>
            <b/>
            <sz val="8"/>
            <rFont val="Tahoma"/>
            <family val="0"/>
          </rPr>
          <t>Bob Elllis:</t>
        </r>
        <r>
          <rPr>
            <sz val="8"/>
            <rFont val="Tahoma"/>
            <family val="0"/>
          </rPr>
          <t xml:space="preserve">
Use "The Edge" to determine magnitude of correction needed</t>
        </r>
      </text>
    </comment>
    <comment ref="C6" authorId="0">
      <text>
        <r>
          <rPr>
            <b/>
            <sz val="8"/>
            <rFont val="Tahoma"/>
            <family val="0"/>
          </rPr>
          <t>Bob Elllis:</t>
        </r>
        <r>
          <rPr>
            <sz val="8"/>
            <rFont val="Tahoma"/>
            <family val="0"/>
          </rPr>
          <t xml:space="preserve">
Enter baffle step compensation desired - usually 0-6 db.</t>
        </r>
      </text>
    </comment>
    <comment ref="C8" authorId="0">
      <text>
        <r>
          <rPr>
            <sz val="8"/>
            <rFont val="Tahoma"/>
            <family val="0"/>
          </rPr>
          <t>Standard capacitor Values are the following list, multiplied by 1, 10, 100, 1000, etc.
1
1.2
1.5
1.8
2.2
2.7
3.3
3.9
4.7
5.6
6.8
8.2</t>
        </r>
      </text>
    </comment>
    <comment ref="C7" authorId="0">
      <text>
        <r>
          <rPr>
            <b/>
            <sz val="8"/>
            <rFont val="Tahoma"/>
            <family val="0"/>
          </rPr>
          <t>Bob Elllis:</t>
        </r>
        <r>
          <rPr>
            <sz val="8"/>
            <rFont val="Tahoma"/>
            <family val="0"/>
          </rPr>
          <t xml:space="preserve">
Enter baffle width in cm</t>
        </r>
      </text>
    </comment>
    <comment ref="C46" authorId="0">
      <text>
        <r>
          <rPr>
            <b/>
            <sz val="8"/>
            <rFont val="Tahoma"/>
            <family val="0"/>
          </rPr>
          <t>Bob Elllis:</t>
        </r>
        <r>
          <rPr>
            <sz val="8"/>
            <rFont val="Tahoma"/>
            <family val="0"/>
          </rPr>
          <t xml:space="preserve">
Standard capacitor Values are the following list, multiplied by 1, 10, 100, 1000, etc.
1
1.2
1.5
1.8
2.2
2.7
3.3
3.9
4.7
5.6
6.8
8.2</t>
        </r>
      </text>
    </comment>
    <comment ref="I46" authorId="0">
      <text>
        <r>
          <rPr>
            <b/>
            <sz val="8"/>
            <rFont val="Tahoma"/>
            <family val="0"/>
          </rPr>
          <t>Bob Elllis:</t>
        </r>
        <r>
          <rPr>
            <sz val="8"/>
            <rFont val="Tahoma"/>
            <family val="0"/>
          </rPr>
          <t xml:space="preserve">
Standard capacitor Values are the following list, multiplied by 1, 10, 100, 1000, etc.
1
1.2
1.5
1.8
2.2
2.7
3.3
3.9
4.7
5.6
6.8
8.2</t>
        </r>
      </text>
    </comment>
    <comment ref="I8" authorId="0">
      <text>
        <r>
          <rPr>
            <b/>
            <sz val="8"/>
            <rFont val="Tahoma"/>
            <family val="0"/>
          </rPr>
          <t>Standard capacitor Values are the following list, multiplied by 1, 10, 100, 1000, etc.
1
1.2
1.5
1.8
2.2
2.7
3.3
3.9
4.7
5.6
6.8
8.2</t>
        </r>
      </text>
    </comment>
  </commentList>
</comments>
</file>

<file path=xl/comments4.xml><?xml version="1.0" encoding="utf-8"?>
<comments xmlns="http://schemas.openxmlformats.org/spreadsheetml/2006/main">
  <authors>
    <author>Bob Elllis</author>
  </authors>
  <commentList>
    <comment ref="D10" authorId="0">
      <text>
        <r>
          <rPr>
            <b/>
            <sz val="8"/>
            <rFont val="Tahoma"/>
            <family val="0"/>
          </rPr>
          <t>Bob Elllis:</t>
        </r>
        <r>
          <rPr>
            <sz val="8"/>
            <rFont val="Tahoma"/>
            <family val="0"/>
          </rPr>
          <t xml:space="preserve">
fixes this much offset between driver centers (mm) at frequency in column A</t>
        </r>
      </text>
    </comment>
    <comment ref="D7" authorId="0">
      <text>
        <r>
          <rPr>
            <b/>
            <sz val="8"/>
            <rFont val="Tahoma"/>
            <family val="0"/>
          </rPr>
          <t>Bob Elllis:</t>
        </r>
        <r>
          <rPr>
            <sz val="8"/>
            <rFont val="Tahoma"/>
            <family val="0"/>
          </rPr>
          <t xml:space="preserve">
enter R value here</t>
        </r>
      </text>
    </comment>
    <comment ref="D8" authorId="0">
      <text>
        <r>
          <rPr>
            <b/>
            <sz val="8"/>
            <rFont val="Tahoma"/>
            <family val="0"/>
          </rPr>
          <t>Bob Elllis:</t>
        </r>
        <r>
          <rPr>
            <sz val="8"/>
            <rFont val="Tahoma"/>
            <family val="0"/>
          </rPr>
          <t xml:space="preserve">
Standard capacitor Values are the following list, multiplied by 1, 10, 100, 1000, etc.
1
1.2
1.5
1.8
2.2
2.7
3.3
3.9
4.7
5.6
6.8
8.2</t>
        </r>
      </text>
    </comment>
  </commentList>
</comments>
</file>

<file path=xl/sharedStrings.xml><?xml version="1.0" encoding="utf-8"?>
<sst xmlns="http://schemas.openxmlformats.org/spreadsheetml/2006/main" count="186" uniqueCount="108">
  <si>
    <t>Notch Filter design</t>
  </si>
  <si>
    <t>low</t>
  </si>
  <si>
    <t>High</t>
  </si>
  <si>
    <t>Q</t>
  </si>
  <si>
    <t>3db down points</t>
  </si>
  <si>
    <t>Peaking EQ design</t>
  </si>
  <si>
    <t>total boost (dB)</t>
  </si>
  <si>
    <t>Delay (all pass)</t>
  </si>
  <si>
    <t>speed of sound (mm/sec)</t>
  </si>
  <si>
    <t>Fo</t>
  </si>
  <si>
    <t>BAFFLE STEP</t>
  </si>
  <si>
    <t>total Cut (Enter dB)</t>
  </si>
  <si>
    <t>Enter center of desired Notch</t>
  </si>
  <si>
    <t>Enter the frequencies where the peak you are taming is 3 dB down from the peak</t>
  </si>
  <si>
    <t>Enter the height of the peak you want to tame</t>
  </si>
  <si>
    <t>Enter a standard value</t>
  </si>
  <si>
    <t>Enter center of desired peak</t>
  </si>
  <si>
    <t>Enter the frequencies where the peak you are creating is 3 dB down from the peak</t>
  </si>
  <si>
    <t>Enter the height of the peak you want to create</t>
  </si>
  <si>
    <t>http://www.t-linespeakers.org/tech/bafflestep/bstepcompo.html</t>
  </si>
  <si>
    <t>calculated values</t>
  </si>
  <si>
    <t>User entered values</t>
  </si>
  <si>
    <t>delay (msec)</t>
  </si>
  <si>
    <t>offset (mm)</t>
  </si>
  <si>
    <t>Frequency</t>
  </si>
  <si>
    <t>C10 (nf)</t>
  </si>
  <si>
    <t>R16</t>
  </si>
  <si>
    <t>R12</t>
  </si>
  <si>
    <t>gain (db)</t>
  </si>
  <si>
    <t>center frequency</t>
  </si>
  <si>
    <t>based on this work:</t>
  </si>
  <si>
    <t>DIPOLE</t>
  </si>
  <si>
    <t>R23</t>
  </si>
  <si>
    <t>R35=R42</t>
  </si>
  <si>
    <t>C26 (nf)</t>
  </si>
  <si>
    <t>C19 (nf)</t>
  </si>
  <si>
    <t>R24</t>
  </si>
  <si>
    <t>C18</t>
  </si>
  <si>
    <t>100 pf</t>
  </si>
  <si>
    <t>omit</t>
  </si>
  <si>
    <t>Connect JP14 positions 2+3</t>
  </si>
  <si>
    <t>Connect JP14 positions 1 + 2</t>
  </si>
  <si>
    <t>Determine Q setting resistors</t>
  </si>
  <si>
    <t>Q desired</t>
  </si>
  <si>
    <t>C3, C4 (nf)</t>
  </si>
  <si>
    <t>R14</t>
  </si>
  <si>
    <t>R19</t>
  </si>
  <si>
    <t>Determine Frequency setting resistors</t>
  </si>
  <si>
    <t xml:space="preserve">Calculations work for Low pass sections.  </t>
  </si>
  <si>
    <t>Only one filter section shown for simplicity.</t>
  </si>
  <si>
    <t>baffle width (cm)</t>
  </si>
  <si>
    <t>F1</t>
  </si>
  <si>
    <t>F2</t>
  </si>
  <si>
    <t>Gain (db)</t>
  </si>
  <si>
    <t>R39</t>
  </si>
  <si>
    <t>R40, R32</t>
  </si>
  <si>
    <t>C24 (nf)</t>
  </si>
  <si>
    <t>R41</t>
  </si>
  <si>
    <t>C27</t>
  </si>
  <si>
    <t>C25</t>
  </si>
  <si>
    <t>R33</t>
  </si>
  <si>
    <t>R31</t>
  </si>
  <si>
    <t>C23</t>
  </si>
  <si>
    <t>C20</t>
  </si>
  <si>
    <t>Inverting Shelving High Pass Using Linkwitz Transform section</t>
  </si>
  <si>
    <t>R32</t>
  </si>
  <si>
    <t>R40</t>
  </si>
  <si>
    <t>R90</t>
  </si>
  <si>
    <t>Omit</t>
  </si>
  <si>
    <t>Inverting Shelving Low Pass Using Linkwitz Transform section</t>
  </si>
  <si>
    <t>Direct Notch Design</t>
  </si>
  <si>
    <t>Direct Peaking EQ design</t>
  </si>
  <si>
    <t>However, if the desired EQ is greater than 3 dB these tools come quite close to calculating the required Q based on the shape</t>
  </si>
  <si>
    <t>Use the Direct tools to design EQ sections when you know the center frequency, desired gain and Q</t>
  </si>
  <si>
    <t>of the frequency response curve to correct.  Use a circuit simulator to verify the response</t>
  </si>
  <si>
    <t>The use of a circuit simulator to verify the circuit response is encouraged.</t>
  </si>
  <si>
    <t>Total Cut (Enter dB)</t>
  </si>
  <si>
    <t>The tools below are not technically accurate, due to the definition of Q, which becomes a problem if the EQ is less than 3 dB.</t>
  </si>
  <si>
    <t>R10</t>
  </si>
  <si>
    <t>C7 (nf)</t>
  </si>
  <si>
    <t>Low Frequency</t>
  </si>
  <si>
    <t>High Frequency</t>
  </si>
  <si>
    <t>Enter frequency range of compensation needed (from The Edge)</t>
  </si>
  <si>
    <t>Enter baffle width and gain needed</t>
  </si>
  <si>
    <t>Jumper</t>
  </si>
  <si>
    <t>Enter total boost required and center frequency</t>
  </si>
  <si>
    <t>Input Buffer</t>
  </si>
  <si>
    <t>Baffle Step/Dipole alternative</t>
  </si>
  <si>
    <t>Input Low Pass Approximation</t>
  </si>
  <si>
    <t>R11</t>
  </si>
  <si>
    <t>C9 (pf)</t>
  </si>
  <si>
    <t>Low Pass cutoff (Hz)</t>
  </si>
  <si>
    <t>Center Frequency</t>
  </si>
  <si>
    <t>EQ APPROXIMATIONS</t>
  </si>
  <si>
    <t>Shelving Filters - 6 dB/octave</t>
  </si>
  <si>
    <t>Low Pass</t>
  </si>
  <si>
    <t>6 dB/octave</t>
  </si>
  <si>
    <t>Valid for R13&gt;&gt;R11</t>
  </si>
  <si>
    <t>For lowest DC offset, use R10 Value</t>
  </si>
  <si>
    <t>R3 = R4 and is any reasonable value</t>
  </si>
  <si>
    <t>C1 = 100-220 pf</t>
  </si>
  <si>
    <t>Choose R10 and C7 for desired delay/offset at XO frequency</t>
  </si>
  <si>
    <t>Uses Linkwitz all pass 0 to -180 degree section</t>
  </si>
  <si>
    <t>Swap R10 and C7 for -180 to -360</t>
  </si>
  <si>
    <t>FILTER DESIGN</t>
  </si>
  <si>
    <t>Q&gt;= 0.5 required</t>
  </si>
  <si>
    <t>EQ DESIGN</t>
  </si>
  <si>
    <t>R6, R7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</si>
</sst>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8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.75"/>
      <name val="Arial"/>
      <family val="0"/>
    </font>
    <font>
      <b/>
      <sz val="16.75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0"/>
    </font>
    <font>
      <b/>
      <sz val="19.25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4" fillId="0" borderId="0" xfId="20" applyAlignment="1">
      <alignment/>
    </xf>
    <xf numFmtId="0" fontId="0" fillId="3" borderId="0" xfId="0" applyFill="1" applyAlignment="1">
      <alignment/>
    </xf>
    <xf numFmtId="0" fontId="0" fillId="0" borderId="0" xfId="0" applyFont="1" applyAlignment="1">
      <alignment horizontal="center"/>
    </xf>
    <xf numFmtId="0" fontId="4" fillId="0" borderId="0" xfId="20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3" borderId="1" xfId="0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9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37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2" fontId="0" fillId="2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Fill="1" applyBorder="1" applyAlignment="1">
      <alignment horizontal="left"/>
    </xf>
    <xf numFmtId="0" fontId="16" fillId="2" borderId="0" xfId="0" applyFont="1" applyFill="1" applyAlignment="1">
      <alignment/>
    </xf>
    <xf numFmtId="0" fontId="15" fillId="0" borderId="0" xfId="0" applyFont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Group Delay</a:t>
            </a:r>
            <a:r>
              <a:rPr lang="en-US" cap="none" sz="1675" b="0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12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1425"/>
          <c:w val="0.92675"/>
          <c:h val="0.78575"/>
        </c:manualLayout>
      </c:layout>
      <c:lineChart>
        <c:grouping val="standard"/>
        <c:varyColors val="0"/>
        <c:ser>
          <c:idx val="0"/>
          <c:order val="0"/>
          <c:tx>
            <c:v>Delay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'All Pass'!$B$11:$B$78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cat>
          <c:val>
            <c:numRef>
              <c:f>'All Pass'!$C$11:$C$78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axId val="10245188"/>
        <c:axId val="25097829"/>
      </c:lineChart>
      <c:catAx>
        <c:axId val="10245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Frequency (linear scale)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97829"/>
        <c:crosses val="autoZero"/>
        <c:auto val="1"/>
        <c:lblOffset val="100"/>
        <c:noMultiLvlLbl val="0"/>
      </c:catAx>
      <c:valAx>
        <c:axId val="25097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Time (msec)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245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1</xdr:row>
      <xdr:rowOff>95250</xdr:rowOff>
    </xdr:from>
    <xdr:to>
      <xdr:col>12</xdr:col>
      <xdr:colOff>76200</xdr:colOff>
      <xdr:row>43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257175"/>
          <a:ext cx="4867275" cy="6905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6</xdr:row>
      <xdr:rowOff>19050</xdr:rowOff>
    </xdr:from>
    <xdr:to>
      <xdr:col>14</xdr:col>
      <xdr:colOff>561975</xdr:colOff>
      <xdr:row>39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1162050"/>
          <a:ext cx="3533775" cy="553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1123950</xdr:colOff>
      <xdr:row>57</xdr:row>
      <xdr:rowOff>123825</xdr:rowOff>
    </xdr:from>
    <xdr:to>
      <xdr:col>7</xdr:col>
      <xdr:colOff>790575</xdr:colOff>
      <xdr:row>79</xdr:row>
      <xdr:rowOff>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9944100"/>
          <a:ext cx="55054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762000</xdr:colOff>
      <xdr:row>13</xdr:row>
      <xdr:rowOff>57150</xdr:rowOff>
    </xdr:from>
    <xdr:to>
      <xdr:col>5</xdr:col>
      <xdr:colOff>180975</xdr:colOff>
      <xdr:row>38</xdr:row>
      <xdr:rowOff>95250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552700"/>
          <a:ext cx="340995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27</xdr:row>
      <xdr:rowOff>152400</xdr:rowOff>
    </xdr:from>
    <xdr:to>
      <xdr:col>8</xdr:col>
      <xdr:colOff>438150</xdr:colOff>
      <xdr:row>57</xdr:row>
      <xdr:rowOff>47625</xdr:rowOff>
    </xdr:to>
    <xdr:graphicFrame>
      <xdr:nvGraphicFramePr>
        <xdr:cNvPr id="1" name="Chart 6"/>
        <xdr:cNvGraphicFramePr/>
      </xdr:nvGraphicFramePr>
      <xdr:xfrm>
        <a:off x="3524250" y="4714875"/>
        <a:ext cx="77533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</xdr:colOff>
      <xdr:row>9</xdr:row>
      <xdr:rowOff>9525</xdr:rowOff>
    </xdr:from>
    <xdr:to>
      <xdr:col>6</xdr:col>
      <xdr:colOff>685800</xdr:colOff>
      <xdr:row>27</xdr:row>
      <xdr:rowOff>142875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57350"/>
          <a:ext cx="39814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-linespeakers.org/tech/bafflestep/bstepcompo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23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6.57421875" style="0" customWidth="1"/>
    <col min="2" max="2" width="23.7109375" style="0" customWidth="1"/>
    <col min="3" max="3" width="15.421875" style="4" customWidth="1"/>
    <col min="4" max="4" width="4.7109375" style="0" customWidth="1"/>
    <col min="5" max="5" width="18.00390625" style="0" customWidth="1"/>
    <col min="8" max="8" width="18.7109375" style="0" customWidth="1"/>
  </cols>
  <sheetData>
    <row r="1" ht="12.75"/>
    <row r="2" ht="12.75"/>
    <row r="3" ht="20.25">
      <c r="B3" s="36" t="s">
        <v>104</v>
      </c>
    </row>
    <row r="4" ht="12.75"/>
    <row r="5" ht="12.75"/>
    <row r="6" ht="12.75"/>
    <row r="7" ht="12.75"/>
    <row r="8" ht="12.75"/>
    <row r="9" ht="15.75">
      <c r="B9" s="17" t="s">
        <v>47</v>
      </c>
    </row>
    <row r="10" ht="12.75"/>
    <row r="11" spans="2:5" ht="12.75">
      <c r="B11" s="21" t="s">
        <v>44</v>
      </c>
      <c r="C11" s="21">
        <v>100</v>
      </c>
      <c r="E11" s="6" t="s">
        <v>21</v>
      </c>
    </row>
    <row r="12" spans="2:5" ht="12.75">
      <c r="B12" s="21" t="s">
        <v>24</v>
      </c>
      <c r="C12" s="35">
        <v>60</v>
      </c>
      <c r="E12" s="3" t="s">
        <v>20</v>
      </c>
    </row>
    <row r="13" spans="2:3" ht="12.75">
      <c r="B13" s="34" t="s">
        <v>107</v>
      </c>
      <c r="C13" s="34">
        <f>1/(2*PI()*C12*$C$11*10^-9)</f>
        <v>26525.823848649223</v>
      </c>
    </row>
    <row r="14" ht="12.75"/>
    <row r="15" ht="12.75"/>
    <row r="16" ht="15.75">
      <c r="B16" s="17" t="s">
        <v>42</v>
      </c>
    </row>
    <row r="17" ht="12.75"/>
    <row r="18" spans="2:5" ht="12.75">
      <c r="B18" s="21" t="s">
        <v>43</v>
      </c>
      <c r="C18" s="21">
        <v>0.5</v>
      </c>
      <c r="E18" s="38" t="s">
        <v>105</v>
      </c>
    </row>
    <row r="19" spans="2:3" ht="12.75">
      <c r="B19" s="21" t="s">
        <v>45</v>
      </c>
      <c r="C19" s="35">
        <v>2200</v>
      </c>
    </row>
    <row r="20" spans="2:3" ht="12.75">
      <c r="B20" s="34" t="s">
        <v>46</v>
      </c>
      <c r="C20" s="34" t="str">
        <f>IF(C18&gt;0.5,(C18*C19)/(2*C18-1),"OPEN")</f>
        <v>OPEN</v>
      </c>
    </row>
    <row r="21" ht="12.75"/>
    <row r="22" ht="12.75">
      <c r="B22" t="s">
        <v>49</v>
      </c>
    </row>
    <row r="23" ht="12.75">
      <c r="B23" t="s">
        <v>48</v>
      </c>
    </row>
    <row r="24" ht="12.75"/>
    <row r="25" ht="12.75"/>
    <row r="26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B8" sqref="B8"/>
    </sheetView>
  </sheetViews>
  <sheetFormatPr defaultColWidth="9.140625" defaultRowHeight="12.75"/>
  <cols>
    <col min="1" max="1" width="20.421875" style="0" customWidth="1"/>
    <col min="2" max="2" width="12.8515625" style="0" customWidth="1"/>
    <col min="3" max="3" width="9.140625" style="0" hidden="1" customWidth="1"/>
    <col min="4" max="4" width="18.57421875" style="0" customWidth="1"/>
    <col min="8" max="8" width="17.8515625" style="0" customWidth="1"/>
  </cols>
  <sheetData>
    <row r="1" ht="20.25">
      <c r="A1" s="36" t="s">
        <v>106</v>
      </c>
    </row>
    <row r="3" ht="15.75">
      <c r="A3" s="17" t="s">
        <v>73</v>
      </c>
    </row>
    <row r="4" ht="12.75">
      <c r="A4" t="s">
        <v>75</v>
      </c>
    </row>
    <row r="6" spans="1:8" ht="15.75">
      <c r="A6" s="17" t="s">
        <v>70</v>
      </c>
      <c r="D6" s="19" t="s">
        <v>40</v>
      </c>
      <c r="E6" s="19"/>
      <c r="H6" s="6" t="s">
        <v>21</v>
      </c>
    </row>
    <row r="7" ht="12.75">
      <c r="H7" s="3" t="s">
        <v>20</v>
      </c>
    </row>
    <row r="8" spans="1:4" ht="12.75">
      <c r="A8" s="25" t="s">
        <v>92</v>
      </c>
      <c r="B8" s="21">
        <v>2200</v>
      </c>
      <c r="D8" t="s">
        <v>12</v>
      </c>
    </row>
    <row r="9" spans="1:3" ht="12.75">
      <c r="A9" s="25" t="s">
        <v>76</v>
      </c>
      <c r="B9" s="21">
        <v>35</v>
      </c>
      <c r="C9">
        <f>10^(-1*B9/20)</f>
        <v>0.017782794100389226</v>
      </c>
    </row>
    <row r="10" spans="1:2" ht="12.75">
      <c r="A10" s="25" t="s">
        <v>3</v>
      </c>
      <c r="B10" s="21">
        <v>6.5</v>
      </c>
    </row>
    <row r="11" spans="1:4" ht="12.75">
      <c r="A11" s="25" t="s">
        <v>35</v>
      </c>
      <c r="B11" s="21">
        <v>4.7</v>
      </c>
      <c r="C11">
        <f>B11/10^9</f>
        <v>4.7E-09</v>
      </c>
      <c r="D11" t="s">
        <v>15</v>
      </c>
    </row>
    <row r="12" spans="1:2" ht="12.75">
      <c r="A12" s="28" t="s">
        <v>33</v>
      </c>
      <c r="B12" s="29">
        <f>1/(4*C11*B10*B8*PI())</f>
        <v>1184.0123723545255</v>
      </c>
    </row>
    <row r="13" spans="1:2" ht="12.75">
      <c r="A13" s="28" t="s">
        <v>32</v>
      </c>
      <c r="B13" s="30">
        <f>1/(2*PI()*B8*C11*B10)*(1-C9)/C9</f>
        <v>130795.79255761356</v>
      </c>
    </row>
    <row r="14" spans="1:2" ht="12.75">
      <c r="A14" s="28" t="s">
        <v>34</v>
      </c>
      <c r="B14" s="29">
        <f>4*B10^2*C11*10^9</f>
        <v>794.3</v>
      </c>
    </row>
    <row r="15" spans="1:2" ht="12.75">
      <c r="A15" s="28" t="s">
        <v>36</v>
      </c>
      <c r="B15" s="29">
        <v>0</v>
      </c>
    </row>
    <row r="16" spans="1:2" ht="12.75">
      <c r="A16" s="28" t="s">
        <v>37</v>
      </c>
      <c r="B16" s="29" t="s">
        <v>39</v>
      </c>
    </row>
    <row r="17" ht="12.75">
      <c r="B17" s="4"/>
    </row>
    <row r="19" spans="1:4" ht="15.75">
      <c r="A19" s="17" t="s">
        <v>71</v>
      </c>
      <c r="B19" s="4"/>
      <c r="D19" s="19" t="s">
        <v>41</v>
      </c>
    </row>
    <row r="20" ht="12.75">
      <c r="B20" s="4"/>
    </row>
    <row r="21" ht="12.75">
      <c r="B21" s="4"/>
    </row>
    <row r="22" spans="1:4" ht="12.75">
      <c r="A22" s="25" t="s">
        <v>92</v>
      </c>
      <c r="B22" s="21">
        <v>5500</v>
      </c>
      <c r="D22" t="s">
        <v>16</v>
      </c>
    </row>
    <row r="23" spans="1:4" ht="12.75">
      <c r="A23" s="25" t="s">
        <v>6</v>
      </c>
      <c r="B23" s="21">
        <v>3</v>
      </c>
      <c r="C23">
        <f>10^(B23/20)</f>
        <v>1.4125375446227544</v>
      </c>
      <c r="D23" t="s">
        <v>18</v>
      </c>
    </row>
    <row r="24" spans="1:2" ht="12.75">
      <c r="A24" s="25" t="s">
        <v>3</v>
      </c>
      <c r="B24" s="21">
        <v>2</v>
      </c>
    </row>
    <row r="25" spans="1:4" ht="12.75">
      <c r="A25" s="25" t="s">
        <v>35</v>
      </c>
      <c r="B25" s="21">
        <v>5</v>
      </c>
      <c r="C25">
        <f>B25/10^9</f>
        <v>5E-09</v>
      </c>
      <c r="D25" t="s">
        <v>15</v>
      </c>
    </row>
    <row r="26" spans="1:2" ht="12.75">
      <c r="A26" s="28" t="s">
        <v>33</v>
      </c>
      <c r="B26" s="29">
        <f>1/(4*C25*B24*B22*PI())</f>
        <v>1446.8631190172302</v>
      </c>
    </row>
    <row r="27" spans="1:2" ht="12.75">
      <c r="A27" s="28" t="s">
        <v>32</v>
      </c>
      <c r="B27" s="29">
        <v>0</v>
      </c>
    </row>
    <row r="28" spans="1:2" ht="12.75">
      <c r="A28" s="28" t="s">
        <v>34</v>
      </c>
      <c r="B28" s="29">
        <f>4*B24^2*C25*10^9</f>
        <v>80</v>
      </c>
    </row>
    <row r="29" spans="1:2" ht="12.75">
      <c r="A29" s="28" t="s">
        <v>36</v>
      </c>
      <c r="B29" s="29">
        <f>(C23-1)/(2*PI()*C25*B24*B22)</f>
        <v>1193.7707170491765</v>
      </c>
    </row>
    <row r="30" spans="1:2" ht="12.75">
      <c r="A30" s="28" t="s">
        <v>37</v>
      </c>
      <c r="B30" s="29" t="s">
        <v>38</v>
      </c>
    </row>
    <row r="33" ht="18">
      <c r="A33" s="37" t="s">
        <v>93</v>
      </c>
    </row>
    <row r="34" ht="12.75">
      <c r="A34" s="9" t="s">
        <v>77</v>
      </c>
    </row>
    <row r="35" spans="1:4" ht="12.75">
      <c r="A35" s="9" t="s">
        <v>72</v>
      </c>
      <c r="D35" s="9"/>
    </row>
    <row r="36" ht="12.75">
      <c r="A36" s="9" t="s">
        <v>74</v>
      </c>
    </row>
    <row r="38" spans="1:5" ht="15.75">
      <c r="A38" s="17" t="s">
        <v>0</v>
      </c>
      <c r="D38" s="19" t="s">
        <v>40</v>
      </c>
      <c r="E38" s="19"/>
    </row>
    <row r="40" spans="1:4" ht="12.75">
      <c r="A40" s="25" t="s">
        <v>92</v>
      </c>
      <c r="B40" s="26">
        <v>9000</v>
      </c>
      <c r="D40" t="s">
        <v>12</v>
      </c>
    </row>
    <row r="41" spans="1:2" ht="12.75">
      <c r="A41" s="25" t="s">
        <v>4</v>
      </c>
      <c r="B41" s="26"/>
    </row>
    <row r="42" spans="1:4" ht="12.75">
      <c r="A42" s="27" t="s">
        <v>1</v>
      </c>
      <c r="B42" s="26">
        <v>7500</v>
      </c>
      <c r="D42" t="s">
        <v>13</v>
      </c>
    </row>
    <row r="43" spans="1:2" ht="12.75">
      <c r="A43" s="27" t="s">
        <v>2</v>
      </c>
      <c r="B43" s="26">
        <v>10500</v>
      </c>
    </row>
    <row r="44" spans="1:4" ht="12.75">
      <c r="A44" s="25" t="s">
        <v>11</v>
      </c>
      <c r="B44" s="26">
        <v>15</v>
      </c>
      <c r="C44">
        <f>10^(-1*B44/20)</f>
        <v>0.17782794100389224</v>
      </c>
      <c r="D44" t="s">
        <v>14</v>
      </c>
    </row>
    <row r="45" spans="1:4" ht="12.75">
      <c r="A45" s="25" t="s">
        <v>35</v>
      </c>
      <c r="B45" s="26">
        <v>4.7</v>
      </c>
      <c r="D45" t="s">
        <v>15</v>
      </c>
    </row>
    <row r="46" spans="1:3" ht="12.75">
      <c r="A46" s="28" t="s">
        <v>3</v>
      </c>
      <c r="B46" s="29">
        <f>B40/(B43-B42)</f>
        <v>3</v>
      </c>
      <c r="C46">
        <f>B45/10^9</f>
        <v>4.7E-09</v>
      </c>
    </row>
    <row r="47" spans="1:2" ht="12.75">
      <c r="A47" s="28" t="s">
        <v>33</v>
      </c>
      <c r="B47" s="29">
        <f>1/(4*C46*B46*B40*PI())</f>
        <v>627.0880342470266</v>
      </c>
    </row>
    <row r="48" spans="1:2" ht="12.75">
      <c r="A48" s="28" t="s">
        <v>32</v>
      </c>
      <c r="B48" s="30">
        <f>1/(2*PI()*B40*C46*B46)*(1-C44)/C44</f>
        <v>5798.574255295626</v>
      </c>
    </row>
    <row r="49" spans="1:2" ht="12.75">
      <c r="A49" s="28" t="s">
        <v>34</v>
      </c>
      <c r="B49" s="29">
        <f>4*B46^2*C46*10^9</f>
        <v>169.20000000000002</v>
      </c>
    </row>
    <row r="50" spans="1:2" ht="12.75">
      <c r="A50" s="28" t="s">
        <v>36</v>
      </c>
      <c r="B50" s="29">
        <v>0</v>
      </c>
    </row>
    <row r="51" spans="1:2" ht="12.75">
      <c r="A51" s="28" t="s">
        <v>37</v>
      </c>
      <c r="B51" s="29" t="s">
        <v>39</v>
      </c>
    </row>
    <row r="53" spans="1:5" ht="15.75">
      <c r="A53" s="17" t="s">
        <v>5</v>
      </c>
      <c r="B53" s="4"/>
      <c r="D53" s="19" t="s">
        <v>41</v>
      </c>
      <c r="E53" s="19"/>
    </row>
    <row r="54" ht="12.75">
      <c r="B54" s="4"/>
    </row>
    <row r="55" spans="1:4" ht="12.75">
      <c r="A55" s="25" t="s">
        <v>92</v>
      </c>
      <c r="B55" s="21">
        <v>5500</v>
      </c>
      <c r="D55" t="s">
        <v>16</v>
      </c>
    </row>
    <row r="56" spans="1:2" ht="12.75">
      <c r="A56" s="25" t="s">
        <v>4</v>
      </c>
      <c r="B56" s="21"/>
    </row>
    <row r="57" spans="1:4" ht="12.75">
      <c r="A57" s="25" t="s">
        <v>1</v>
      </c>
      <c r="B57" s="21">
        <v>4500</v>
      </c>
      <c r="D57" t="s">
        <v>17</v>
      </c>
    </row>
    <row r="58" spans="1:2" ht="12.75">
      <c r="A58" s="25" t="s">
        <v>2</v>
      </c>
      <c r="B58" s="21">
        <v>7500</v>
      </c>
    </row>
    <row r="59" spans="1:4" ht="12.75">
      <c r="A59" s="25" t="s">
        <v>6</v>
      </c>
      <c r="B59" s="21">
        <v>3</v>
      </c>
      <c r="C59">
        <f>10^(B59/20)</f>
        <v>1.4125375446227544</v>
      </c>
      <c r="D59" t="s">
        <v>18</v>
      </c>
    </row>
    <row r="60" spans="1:4" ht="12.75">
      <c r="A60" s="25" t="s">
        <v>35</v>
      </c>
      <c r="B60" s="21">
        <v>5</v>
      </c>
      <c r="C60">
        <f>B60/10^9</f>
        <v>5E-09</v>
      </c>
      <c r="D60" t="s">
        <v>15</v>
      </c>
    </row>
    <row r="61" spans="1:2" ht="12.75">
      <c r="A61" s="28" t="s">
        <v>3</v>
      </c>
      <c r="B61" s="29">
        <f>B55/(B58-B57)</f>
        <v>1.8333333333333333</v>
      </c>
    </row>
    <row r="62" spans="1:2" ht="12.75">
      <c r="A62" s="29" t="s">
        <v>33</v>
      </c>
      <c r="B62" s="29">
        <f>1/(4*C60*B61*B55*PI())</f>
        <v>1578.3961298369788</v>
      </c>
    </row>
    <row r="63" spans="1:2" ht="12.75">
      <c r="A63" s="29" t="s">
        <v>32</v>
      </c>
      <c r="B63" s="29">
        <v>0</v>
      </c>
    </row>
    <row r="64" spans="1:2" ht="12.75">
      <c r="A64" s="29" t="s">
        <v>34</v>
      </c>
      <c r="B64" s="29">
        <f>4*B61^2*C60*10^9</f>
        <v>67.22222222222221</v>
      </c>
    </row>
    <row r="65" spans="1:2" ht="12.75">
      <c r="A65" s="29" t="s">
        <v>36</v>
      </c>
      <c r="B65" s="29">
        <f>(C59-1)/(2*PI()*C60*B61*B55)</f>
        <v>1302.295327690011</v>
      </c>
    </row>
    <row r="66" spans="1:2" ht="12.75">
      <c r="A66" s="29" t="s">
        <v>37</v>
      </c>
      <c r="B66" s="29" t="s">
        <v>38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L57"/>
  <sheetViews>
    <sheetView workbookViewId="0" topLeftCell="A1">
      <selection activeCell="C6" sqref="C6"/>
    </sheetView>
  </sheetViews>
  <sheetFormatPr defaultColWidth="9.140625" defaultRowHeight="12.75"/>
  <cols>
    <col min="2" max="2" width="18.28125" style="0" customWidth="1"/>
    <col min="3" max="3" width="12.7109375" style="0" customWidth="1"/>
    <col min="4" max="4" width="11.57421875" style="0" customWidth="1"/>
    <col min="5" max="5" width="17.28125" style="0" customWidth="1"/>
    <col min="6" max="6" width="15.140625" style="0" customWidth="1"/>
    <col min="7" max="7" width="12.57421875" style="0" customWidth="1"/>
    <col min="8" max="8" width="18.421875" style="0" customWidth="1"/>
    <col min="9" max="9" width="22.8515625" style="0" customWidth="1"/>
  </cols>
  <sheetData>
    <row r="1" ht="20.25">
      <c r="B1" s="24" t="s">
        <v>94</v>
      </c>
    </row>
    <row r="2" ht="20.25">
      <c r="B2" s="24"/>
    </row>
    <row r="3" ht="18">
      <c r="B3" s="22" t="s">
        <v>95</v>
      </c>
    </row>
    <row r="4" spans="2:8" s="23" customFormat="1" ht="18">
      <c r="B4" s="23" t="s">
        <v>10</v>
      </c>
      <c r="E4" s="23" t="s">
        <v>31</v>
      </c>
      <c r="H4" s="23" t="s">
        <v>87</v>
      </c>
    </row>
    <row r="5" spans="2:9" s="20" customFormat="1" ht="15">
      <c r="B5" s="2" t="s">
        <v>83</v>
      </c>
      <c r="E5" s="2" t="s">
        <v>85</v>
      </c>
      <c r="H5" t="s">
        <v>82</v>
      </c>
      <c r="I5"/>
    </row>
    <row r="6" spans="2:9" ht="12.75">
      <c r="B6" s="25" t="s">
        <v>28</v>
      </c>
      <c r="C6" s="21">
        <v>6</v>
      </c>
      <c r="D6" s="10">
        <f>10^(C6/20)</f>
        <v>1.9952623149688797</v>
      </c>
      <c r="E6" s="25" t="s">
        <v>28</v>
      </c>
      <c r="F6" s="21">
        <v>15.9</v>
      </c>
      <c r="G6" s="10">
        <f>10^(F6/20)</f>
        <v>6.237348354824194</v>
      </c>
      <c r="H6" s="25" t="s">
        <v>80</v>
      </c>
      <c r="I6" s="21">
        <v>350</v>
      </c>
    </row>
    <row r="7" spans="2:9" ht="12.75">
      <c r="B7" s="25" t="s">
        <v>50</v>
      </c>
      <c r="C7" s="21">
        <v>23</v>
      </c>
      <c r="E7" s="25" t="s">
        <v>29</v>
      </c>
      <c r="F7" s="21">
        <v>160</v>
      </c>
      <c r="H7" s="25" t="s">
        <v>81</v>
      </c>
      <c r="I7" s="21">
        <v>705</v>
      </c>
    </row>
    <row r="8" spans="2:9" ht="12.75">
      <c r="B8" s="25" t="s">
        <v>25</v>
      </c>
      <c r="C8" s="21">
        <v>100</v>
      </c>
      <c r="E8" s="25" t="s">
        <v>25</v>
      </c>
      <c r="F8" s="21">
        <v>220</v>
      </c>
      <c r="H8" s="25" t="s">
        <v>25</v>
      </c>
      <c r="I8" s="21">
        <v>100</v>
      </c>
    </row>
    <row r="9" spans="2:9" ht="12.75">
      <c r="B9" s="29" t="s">
        <v>29</v>
      </c>
      <c r="C9" s="29">
        <f>11500/C7</f>
        <v>500</v>
      </c>
      <c r="E9" s="29" t="s">
        <v>27</v>
      </c>
      <c r="F9" s="29">
        <f>(1/((2*PI()*F7*F8*10^-9)*(G6-1)))*SQRT((G6^2-G6)/(G6-1))</f>
        <v>2156.0856386479322</v>
      </c>
      <c r="H9" s="29" t="s">
        <v>27</v>
      </c>
      <c r="I9" s="29">
        <f>1/(2*PI()*I6*I8*10^-9)</f>
        <v>4547.284088339867</v>
      </c>
    </row>
    <row r="10" spans="2:9" ht="12.75">
      <c r="B10" s="29" t="s">
        <v>27</v>
      </c>
      <c r="C10" s="29">
        <f>(1/((2*PI()*C9*C8*10^-9)*(D6-1)))*SQRT((D6^2-D6)/(D6-1))</f>
        <v>4517.649852674861</v>
      </c>
      <c r="E10" s="29" t="s">
        <v>26</v>
      </c>
      <c r="F10" s="29">
        <f>(1/(2*PI()*F7*F8*10^-9))*SQRT(((G6^2-SQRT(G6)^2)/(G6-1)))</f>
        <v>11292.171572432819</v>
      </c>
      <c r="H10" s="29" t="s">
        <v>26</v>
      </c>
      <c r="I10" s="29">
        <f>1/(L15-1/I9)</f>
        <v>4483.237833574516</v>
      </c>
    </row>
    <row r="11" spans="2:9" ht="12.75">
      <c r="B11" s="29" t="s">
        <v>26</v>
      </c>
      <c r="C11" s="29">
        <f>(1/(2*PI()*C9*C8*10^-9))*SQRT(((D6^2-SQRT(D6)^2)/(D6-1)))</f>
        <v>4496.246650592001</v>
      </c>
      <c r="H11" s="29" t="s">
        <v>28</v>
      </c>
      <c r="I11" s="33">
        <f>20*LOG(1+I9/I10)</f>
        <v>6.0824214528224605</v>
      </c>
    </row>
    <row r="13" ht="15.75">
      <c r="D13" s="12" t="s">
        <v>86</v>
      </c>
    </row>
    <row r="15" spans="8:12" ht="12.75">
      <c r="H15" s="6" t="s">
        <v>21</v>
      </c>
      <c r="L15" s="10">
        <f>2*PI()*I7*I8*10^-9</f>
        <v>0.00044296456415616087</v>
      </c>
    </row>
    <row r="16" ht="12.75">
      <c r="H16" s="3" t="s">
        <v>20</v>
      </c>
    </row>
    <row r="22" ht="18">
      <c r="H22" s="23" t="s">
        <v>88</v>
      </c>
    </row>
    <row r="23" ht="12.75">
      <c r="H23" t="s">
        <v>97</v>
      </c>
    </row>
    <row r="24" spans="8:9" ht="12.75">
      <c r="H24" s="25" t="s">
        <v>89</v>
      </c>
      <c r="I24" s="34">
        <v>100</v>
      </c>
    </row>
    <row r="25" spans="8:9" ht="12.75">
      <c r="H25" s="25" t="s">
        <v>90</v>
      </c>
      <c r="I25" s="34">
        <v>10000</v>
      </c>
    </row>
    <row r="26" spans="8:9" ht="12.75">
      <c r="H26" s="28" t="s">
        <v>91</v>
      </c>
      <c r="I26" s="34">
        <f>1/(2*PI()*I24*I25*10^-12)</f>
        <v>159154.94309189534</v>
      </c>
    </row>
    <row r="40" spans="2:3" ht="12.75">
      <c r="B40" t="s">
        <v>30</v>
      </c>
      <c r="C40" s="5" t="s">
        <v>19</v>
      </c>
    </row>
    <row r="41" spans="2:5" ht="15">
      <c r="B41" s="18"/>
      <c r="C41" s="18"/>
      <c r="D41" s="18"/>
      <c r="E41" s="18"/>
    </row>
    <row r="42" spans="2:8" ht="18">
      <c r="B42" s="23" t="s">
        <v>64</v>
      </c>
      <c r="C42" s="18"/>
      <c r="D42" s="18"/>
      <c r="E42" s="18"/>
      <c r="H42" s="23" t="s">
        <v>69</v>
      </c>
    </row>
    <row r="43" spans="2:8" s="20" customFormat="1" ht="15.75">
      <c r="B43" s="17" t="s">
        <v>96</v>
      </c>
      <c r="H43" s="17" t="s">
        <v>96</v>
      </c>
    </row>
    <row r="44" spans="2:9" ht="12.75">
      <c r="B44" s="25" t="s">
        <v>51</v>
      </c>
      <c r="C44" s="25">
        <v>60</v>
      </c>
      <c r="H44" s="21" t="s">
        <v>51</v>
      </c>
      <c r="I44" s="21">
        <v>31.2</v>
      </c>
    </row>
    <row r="45" spans="2:9" ht="12.75">
      <c r="B45" s="25" t="s">
        <v>52</v>
      </c>
      <c r="C45" s="25">
        <v>380</v>
      </c>
      <c r="H45" s="21" t="s">
        <v>52</v>
      </c>
      <c r="I45" s="21">
        <v>98.3</v>
      </c>
    </row>
    <row r="46" spans="2:9" ht="12.75">
      <c r="B46" s="25" t="s">
        <v>56</v>
      </c>
      <c r="C46" s="25">
        <v>15</v>
      </c>
      <c r="H46" s="21" t="s">
        <v>56</v>
      </c>
      <c r="I46" s="21">
        <v>470</v>
      </c>
    </row>
    <row r="47" spans="2:9" ht="12.75">
      <c r="B47" s="28" t="s">
        <v>53</v>
      </c>
      <c r="C47" s="33">
        <f>20*LOG(C45/C44)</f>
        <v>16.03264692466333</v>
      </c>
      <c r="H47" s="28" t="s">
        <v>53</v>
      </c>
      <c r="I47" s="33">
        <f>20*LOG(I45/I44)</f>
        <v>9.967978476273856</v>
      </c>
    </row>
    <row r="48" spans="2:9" ht="12.75">
      <c r="B48" s="28" t="s">
        <v>54</v>
      </c>
      <c r="C48" s="29">
        <f>1/(2*PI()*C46*C45*10^-9)</f>
        <v>27921.919840683393</v>
      </c>
      <c r="H48" s="28" t="s">
        <v>65</v>
      </c>
      <c r="I48" s="29">
        <f>(1/(2*PI()*I44*I46*10^-9))-I50</f>
        <v>7408.609122031836</v>
      </c>
    </row>
    <row r="49" spans="2:9" ht="12.75">
      <c r="B49" s="28" t="s">
        <v>55</v>
      </c>
      <c r="C49" s="29">
        <f>1/(2*PI()*C44*C46*10^-9)-C48</f>
        <v>148916.9058169781</v>
      </c>
      <c r="H49" s="28" t="s">
        <v>66</v>
      </c>
      <c r="I49" s="29">
        <f>I50*I48/(I50+I48)</f>
        <v>2351.4608810518134</v>
      </c>
    </row>
    <row r="50" spans="2:9" ht="12.75">
      <c r="B50" s="28" t="s">
        <v>57</v>
      </c>
      <c r="C50" s="28" t="s">
        <v>84</v>
      </c>
      <c r="H50" s="28" t="s">
        <v>61</v>
      </c>
      <c r="I50" s="29">
        <f>1/(2*PI()*I45*(I46*10^-9))</f>
        <v>3444.8376245513155</v>
      </c>
    </row>
    <row r="51" spans="2:9" ht="12.75">
      <c r="B51" s="28" t="s">
        <v>58</v>
      </c>
      <c r="C51" s="28" t="s">
        <v>68</v>
      </c>
      <c r="H51" s="28" t="s">
        <v>58</v>
      </c>
      <c r="I51" s="28" t="s">
        <v>68</v>
      </c>
    </row>
    <row r="52" spans="2:9" ht="12.75">
      <c r="B52" s="28" t="s">
        <v>59</v>
      </c>
      <c r="C52" s="28" t="s">
        <v>68</v>
      </c>
      <c r="H52" s="28" t="s">
        <v>59</v>
      </c>
      <c r="I52" s="28" t="s">
        <v>68</v>
      </c>
    </row>
    <row r="53" spans="2:9" ht="12.75">
      <c r="B53" s="28" t="s">
        <v>60</v>
      </c>
      <c r="C53" s="28" t="s">
        <v>84</v>
      </c>
      <c r="H53" s="28" t="s">
        <v>60</v>
      </c>
      <c r="I53" s="28" t="s">
        <v>84</v>
      </c>
    </row>
    <row r="54" spans="2:9" ht="12.75">
      <c r="B54" s="28" t="s">
        <v>61</v>
      </c>
      <c r="C54" s="28" t="s">
        <v>68</v>
      </c>
      <c r="H54" s="28" t="s">
        <v>67</v>
      </c>
      <c r="I54" s="28" t="s">
        <v>68</v>
      </c>
    </row>
    <row r="55" spans="2:9" ht="12.75">
      <c r="B55" s="28" t="s">
        <v>62</v>
      </c>
      <c r="C55" s="28" t="s">
        <v>68</v>
      </c>
      <c r="H55" s="28" t="s">
        <v>57</v>
      </c>
      <c r="I55" s="28" t="s">
        <v>84</v>
      </c>
    </row>
    <row r="56" spans="2:9" ht="12.75">
      <c r="B56" s="28" t="s">
        <v>63</v>
      </c>
      <c r="C56" s="28" t="s">
        <v>38</v>
      </c>
      <c r="H56" s="28" t="s">
        <v>62</v>
      </c>
      <c r="I56" s="28" t="s">
        <v>68</v>
      </c>
    </row>
    <row r="57" spans="8:9" ht="12.75">
      <c r="H57" s="28" t="s">
        <v>63</v>
      </c>
      <c r="I57" s="28" t="s">
        <v>38</v>
      </c>
    </row>
  </sheetData>
  <hyperlinks>
    <hyperlink ref="C40" r:id="rId1" display="http://www.t-linespeakers.org/tech/bafflestep/bstepcompo.html"/>
  </hyperlinks>
  <printOptions/>
  <pageMargins left="0.75" right="0.75" top="1" bottom="1" header="0.5" footer="0.5"/>
  <pageSetup horizontalDpi="200" verticalDpi="200" orientation="portrait" r:id="rId5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B1:J78"/>
  <sheetViews>
    <sheetView workbookViewId="0" topLeftCell="A1">
      <selection activeCell="D7" sqref="D7"/>
    </sheetView>
  </sheetViews>
  <sheetFormatPr defaultColWidth="9.140625" defaultRowHeight="12.75"/>
  <cols>
    <col min="2" max="2" width="14.57421875" style="4" customWidth="1"/>
    <col min="3" max="3" width="13.57421875" style="4" customWidth="1"/>
    <col min="4" max="4" width="12.421875" style="4" customWidth="1"/>
    <col min="5" max="5" width="12.8515625" style="4" customWidth="1"/>
    <col min="6" max="6" width="50.28125" style="4" customWidth="1"/>
    <col min="7" max="7" width="12.00390625" style="0" customWidth="1"/>
    <col min="8" max="8" width="37.7109375" style="0" customWidth="1"/>
    <col min="9" max="9" width="18.421875" style="0" customWidth="1"/>
  </cols>
  <sheetData>
    <row r="1" ht="20.25">
      <c r="B1" s="39" t="s">
        <v>7</v>
      </c>
    </row>
    <row r="2" ht="12.75">
      <c r="F2" s="32" t="s">
        <v>21</v>
      </c>
    </row>
    <row r="3" spans="2:6" ht="15.75">
      <c r="B3" s="13" t="s">
        <v>102</v>
      </c>
      <c r="F3" s="31" t="s">
        <v>20</v>
      </c>
    </row>
    <row r="4" ht="12.75"/>
    <row r="5" spans="2:6" ht="12.75">
      <c r="B5" s="9" t="s">
        <v>101</v>
      </c>
      <c r="F5" s="38" t="s">
        <v>100</v>
      </c>
    </row>
    <row r="6" spans="2:6" ht="16.5" thickBot="1">
      <c r="B6" s="9" t="s">
        <v>103</v>
      </c>
      <c r="D6" s="12"/>
      <c r="E6" s="14"/>
      <c r="F6" s="38" t="s">
        <v>99</v>
      </c>
    </row>
    <row r="7" spans="3:6" ht="12.75">
      <c r="C7" s="25" t="s">
        <v>78</v>
      </c>
      <c r="D7" s="21">
        <v>750</v>
      </c>
      <c r="E7" s="40" t="s">
        <v>9</v>
      </c>
      <c r="F7" s="38" t="s">
        <v>98</v>
      </c>
    </row>
    <row r="8" spans="3:5" ht="13.5" thickBot="1">
      <c r="C8" s="25" t="s">
        <v>79</v>
      </c>
      <c r="D8" s="21">
        <v>22</v>
      </c>
      <c r="E8" s="41">
        <f>1/(2*PI()*D7*10^-9*D8)</f>
        <v>9645.754126781536</v>
      </c>
    </row>
    <row r="9" ht="12.75"/>
    <row r="10" spans="2:6" ht="12.75">
      <c r="B10" s="11" t="s">
        <v>24</v>
      </c>
      <c r="C10" s="11" t="s">
        <v>22</v>
      </c>
      <c r="D10" s="11" t="s">
        <v>23</v>
      </c>
      <c r="F10" s="4" t="s">
        <v>8</v>
      </c>
    </row>
    <row r="11" spans="2:6" ht="12.75">
      <c r="B11" s="42">
        <v>100</v>
      </c>
      <c r="C11" s="15">
        <f aca="true" t="shared" si="0" ref="C11:C42">2000*$D$7*$D$8*10^-9/(1+(2*3.1459*B11*$D$7*$D$8*10^-9)^2)</f>
        <v>0.03299644381092908</v>
      </c>
      <c r="D11" s="16">
        <f aca="true" t="shared" si="1" ref="D11:D42">C11*$F$11/1000</f>
        <v>10.558862019497306</v>
      </c>
      <c r="F11" s="4">
        <v>320000</v>
      </c>
    </row>
    <row r="12" spans="2:4" ht="12.75">
      <c r="B12" s="42">
        <f>100+B11</f>
        <v>200</v>
      </c>
      <c r="C12" s="15">
        <f t="shared" si="0"/>
        <v>0.03298577984095034</v>
      </c>
      <c r="D12" s="16">
        <f t="shared" si="1"/>
        <v>10.555449549104107</v>
      </c>
    </row>
    <row r="13" spans="2:4" ht="12.75">
      <c r="B13" s="42">
        <f aca="true" t="shared" si="2" ref="B13:B76">100+B12</f>
        <v>300</v>
      </c>
      <c r="C13" s="15">
        <f t="shared" si="0"/>
        <v>0.03296802186691624</v>
      </c>
      <c r="D13" s="16">
        <f t="shared" si="1"/>
        <v>10.549766997413197</v>
      </c>
    </row>
    <row r="14" spans="2:6" ht="12.75">
      <c r="B14" s="42">
        <f t="shared" si="2"/>
        <v>400</v>
      </c>
      <c r="C14" s="15">
        <f t="shared" si="0"/>
        <v>0.032943192800838385</v>
      </c>
      <c r="D14" s="16">
        <f t="shared" si="1"/>
        <v>10.541821696268284</v>
      </c>
      <c r="E14" s="1"/>
      <c r="F14" s="8"/>
    </row>
    <row r="15" spans="2:4" ht="12.75">
      <c r="B15" s="42">
        <f t="shared" si="2"/>
        <v>500</v>
      </c>
      <c r="C15" s="15">
        <f t="shared" si="0"/>
        <v>0.03291132461608602</v>
      </c>
      <c r="D15" s="16">
        <f t="shared" si="1"/>
        <v>10.531623877147528</v>
      </c>
    </row>
    <row r="16" spans="2:4" ht="12.75">
      <c r="B16" s="42">
        <f t="shared" si="2"/>
        <v>600</v>
      </c>
      <c r="C16" s="15">
        <f t="shared" si="0"/>
        <v>0.03287245824468544</v>
      </c>
      <c r="D16" s="16">
        <f t="shared" si="1"/>
        <v>10.519186638299342</v>
      </c>
    </row>
    <row r="17" spans="2:4" ht="12.75">
      <c r="B17" s="42">
        <f t="shared" si="2"/>
        <v>700</v>
      </c>
      <c r="C17" s="15">
        <f t="shared" si="0"/>
        <v>0.03282664344633444</v>
      </c>
      <c r="D17" s="16">
        <f t="shared" si="1"/>
        <v>10.50452590282702</v>
      </c>
    </row>
    <row r="18" spans="2:4" ht="12.75">
      <c r="B18" s="42">
        <f t="shared" si="2"/>
        <v>800</v>
      </c>
      <c r="C18" s="15">
        <f t="shared" si="0"/>
        <v>0.03277393864991147</v>
      </c>
      <c r="D18" s="16">
        <f t="shared" si="1"/>
        <v>10.48766036797167</v>
      </c>
    </row>
    <row r="19" spans="2:10" ht="12.75">
      <c r="B19" s="42">
        <f t="shared" si="2"/>
        <v>900</v>
      </c>
      <c r="C19" s="15">
        <f t="shared" si="0"/>
        <v>0.03271441076841706</v>
      </c>
      <c r="D19" s="16">
        <f t="shared" si="1"/>
        <v>10.468611445893458</v>
      </c>
      <c r="E19" s="7"/>
      <c r="F19" s="7"/>
      <c r="G19" s="2"/>
      <c r="H19" s="2"/>
      <c r="I19" s="2"/>
      <c r="J19" s="2"/>
    </row>
    <row r="20" spans="2:4" ht="12.75">
      <c r="B20" s="42">
        <f t="shared" si="2"/>
        <v>1000</v>
      </c>
      <c r="C20" s="15">
        <f t="shared" si="0"/>
        <v>0.03264813498843378</v>
      </c>
      <c r="D20" s="16">
        <f t="shared" si="1"/>
        <v>10.44740319629881</v>
      </c>
    </row>
    <row r="21" spans="2:4" ht="12.75">
      <c r="B21" s="42">
        <f t="shared" si="2"/>
        <v>1100</v>
      </c>
      <c r="C21" s="15">
        <f t="shared" si="0"/>
        <v>0.03257519453533048</v>
      </c>
      <c r="D21" s="16">
        <f t="shared" si="1"/>
        <v>10.424062251305756</v>
      </c>
    </row>
    <row r="22" spans="2:10" ht="12.75">
      <c r="B22" s="42">
        <f t="shared" si="2"/>
        <v>1200</v>
      </c>
      <c r="C22" s="15">
        <f t="shared" si="0"/>
        <v>0.03249568041556346</v>
      </c>
      <c r="D22" s="16">
        <f t="shared" si="1"/>
        <v>10.398617732980307</v>
      </c>
      <c r="E22" s="7"/>
      <c r="F22" s="7"/>
      <c r="G22" s="2"/>
      <c r="H22" s="2"/>
      <c r="I22" s="2"/>
      <c r="J22" s="2"/>
    </row>
    <row r="23" spans="2:4" ht="12.75">
      <c r="B23" s="42">
        <f t="shared" si="2"/>
        <v>1300</v>
      </c>
      <c r="C23" s="15">
        <f t="shared" si="0"/>
        <v>0.03240969113754261</v>
      </c>
      <c r="D23" s="16">
        <f t="shared" si="1"/>
        <v>10.371101164013634</v>
      </c>
    </row>
    <row r="24" spans="2:4" ht="12.75">
      <c r="B24" s="42">
        <f t="shared" si="2"/>
        <v>1400</v>
      </c>
      <c r="C24" s="15">
        <f t="shared" si="0"/>
        <v>0.03231733241263275</v>
      </c>
      <c r="D24" s="16">
        <f t="shared" si="1"/>
        <v>10.341546372042481</v>
      </c>
    </row>
    <row r="25" spans="2:4" ht="12.75">
      <c r="B25" s="42">
        <f t="shared" si="2"/>
        <v>1500</v>
      </c>
      <c r="C25" s="15">
        <f t="shared" si="0"/>
        <v>0.032218716837947664</v>
      </c>
      <c r="D25" s="16">
        <f t="shared" si="1"/>
        <v>10.309989388143252</v>
      </c>
    </row>
    <row r="26" spans="2:4" ht="12.75">
      <c r="B26" s="42">
        <f t="shared" si="2"/>
        <v>1600</v>
      </c>
      <c r="C26" s="15">
        <f t="shared" si="0"/>
        <v>0.03211396356266868</v>
      </c>
      <c r="D26" s="16">
        <f t="shared" si="1"/>
        <v>10.276468340053976</v>
      </c>
    </row>
    <row r="27" spans="2:4" ht="12.75">
      <c r="B27" s="42">
        <f t="shared" si="2"/>
        <v>1700</v>
      </c>
      <c r="C27" s="15">
        <f t="shared" si="0"/>
        <v>0.032003197939677736</v>
      </c>
      <c r="D27" s="16">
        <f t="shared" si="1"/>
        <v>10.241023340696875</v>
      </c>
    </row>
    <row r="28" spans="2:4" ht="12.75">
      <c r="B28" s="42">
        <f t="shared" si="2"/>
        <v>1800</v>
      </c>
      <c r="C28" s="15">
        <f t="shared" si="0"/>
        <v>0.031886551164339416</v>
      </c>
      <c r="D28" s="16">
        <f t="shared" si="1"/>
        <v>10.203696372588613</v>
      </c>
    </row>
    <row r="29" spans="2:4" ht="12.75">
      <c r="B29" s="42">
        <f t="shared" si="2"/>
        <v>1900</v>
      </c>
      <c r="C29" s="15">
        <f t="shared" si="0"/>
        <v>0.03176415990229481</v>
      </c>
      <c r="D29" s="16">
        <f t="shared" si="1"/>
        <v>10.164531168734339</v>
      </c>
    </row>
    <row r="30" spans="2:4" ht="12.75">
      <c r="B30" s="42">
        <f t="shared" si="2"/>
        <v>2000</v>
      </c>
      <c r="C30" s="15">
        <f t="shared" si="0"/>
        <v>0.031636165908144664</v>
      </c>
      <c r="D30" s="16">
        <f t="shared" si="1"/>
        <v>10.123573090606293</v>
      </c>
    </row>
    <row r="31" spans="2:4" ht="12.75">
      <c r="B31" s="42">
        <f t="shared" si="2"/>
        <v>2100</v>
      </c>
      <c r="C31" s="15">
        <f t="shared" si="0"/>
        <v>0.03150271563689946</v>
      </c>
      <c r="D31" s="16">
        <f t="shared" si="1"/>
        <v>10.080869003807825</v>
      </c>
    </row>
    <row r="32" spans="2:4" ht="12.75">
      <c r="B32" s="42">
        <f t="shared" si="2"/>
        <v>2200</v>
      </c>
      <c r="C32" s="15">
        <f t="shared" si="0"/>
        <v>0.031363959850059527</v>
      </c>
      <c r="D32" s="16">
        <f t="shared" si="1"/>
        <v>10.036467152019048</v>
      </c>
    </row>
    <row r="33" spans="2:4" ht="12.75">
      <c r="B33" s="42">
        <f t="shared" si="2"/>
        <v>2300</v>
      </c>
      <c r="C33" s="15">
        <f t="shared" si="0"/>
        <v>0.031220053218161913</v>
      </c>
      <c r="D33" s="16">
        <f t="shared" si="1"/>
        <v>9.99041702981181</v>
      </c>
    </row>
    <row r="34" spans="2:4" ht="12.75">
      <c r="B34" s="42">
        <f t="shared" si="2"/>
        <v>2400</v>
      </c>
      <c r="C34" s="15">
        <f t="shared" si="0"/>
        <v>0.03107115392159066</v>
      </c>
      <c r="D34" s="16">
        <f t="shared" si="1"/>
        <v>9.942769254909011</v>
      </c>
    </row>
    <row r="35" spans="2:4" ht="12.75">
      <c r="B35" s="42">
        <f t="shared" si="2"/>
        <v>2500</v>
      </c>
      <c r="C35" s="15">
        <f t="shared" si="0"/>
        <v>0.030917423251396223</v>
      </c>
      <c r="D35" s="16">
        <f t="shared" si="1"/>
        <v>9.893575440446792</v>
      </c>
    </row>
    <row r="36" spans="2:4" ht="12.75">
      <c r="B36" s="42">
        <f t="shared" si="2"/>
        <v>2600</v>
      </c>
      <c r="C36" s="15">
        <f t="shared" si="0"/>
        <v>0.030759025211807994</v>
      </c>
      <c r="D36" s="16">
        <f t="shared" si="1"/>
        <v>9.842888067778558</v>
      </c>
    </row>
    <row r="37" spans="2:4" ht="12.75">
      <c r="B37" s="42">
        <f t="shared" si="2"/>
        <v>2700</v>
      </c>
      <c r="C37" s="15">
        <f t="shared" si="0"/>
        <v>0.030596126126052395</v>
      </c>
      <c r="D37" s="16">
        <f t="shared" si="1"/>
        <v>9.790760360336765</v>
      </c>
    </row>
    <row r="38" spans="2:4" ht="12.75">
      <c r="B38" s="42">
        <f t="shared" si="2"/>
        <v>2800</v>
      </c>
      <c r="C38" s="15">
        <f t="shared" si="0"/>
        <v>0.030428894247009192</v>
      </c>
      <c r="D38" s="16">
        <f t="shared" si="1"/>
        <v>9.737246159042941</v>
      </c>
    </row>
    <row r="39" spans="2:4" ht="12.75">
      <c r="B39" s="42">
        <f t="shared" si="2"/>
        <v>2900</v>
      </c>
      <c r="C39" s="15">
        <f t="shared" si="0"/>
        <v>0.030257499374151127</v>
      </c>
      <c r="D39" s="16">
        <f t="shared" si="1"/>
        <v>9.68239979972836</v>
      </c>
    </row>
    <row r="40" spans="2:4" ht="12.75">
      <c r="B40" s="42">
        <f t="shared" si="2"/>
        <v>3000</v>
      </c>
      <c r="C40" s="15">
        <f t="shared" si="0"/>
        <v>0.030082112478118712</v>
      </c>
      <c r="D40" s="16">
        <f t="shared" si="1"/>
        <v>9.626275992997988</v>
      </c>
    </row>
    <row r="41" spans="2:4" ht="12.75">
      <c r="B41" s="42">
        <f t="shared" si="2"/>
        <v>3100</v>
      </c>
      <c r="C41" s="15">
        <f t="shared" si="0"/>
        <v>0.02990290533418271</v>
      </c>
      <c r="D41" s="16">
        <f t="shared" si="1"/>
        <v>9.568929706938466</v>
      </c>
    </row>
    <row r="42" spans="2:4" ht="12.75">
      <c r="B42" s="42">
        <f t="shared" si="2"/>
        <v>3200</v>
      </c>
      <c r="C42" s="15">
        <f t="shared" si="0"/>
        <v>0.02972005016574461</v>
      </c>
      <c r="D42" s="16">
        <f t="shared" si="1"/>
        <v>9.510416053038275</v>
      </c>
    </row>
    <row r="43" spans="2:4" ht="12.75">
      <c r="B43" s="42">
        <f t="shared" si="2"/>
        <v>3300</v>
      </c>
      <c r="C43" s="15">
        <f aca="true" t="shared" si="3" ref="C43:C74">2000*$D$7*$D$8*10^-9/(1+(2*3.1459*B43*$D$7*$D$8*10^-9)^2)</f>
        <v>0.02953371929891923</v>
      </c>
      <c r="D43" s="16">
        <f aca="true" t="shared" si="4" ref="D43:D74">C43*$F$11/1000</f>
        <v>9.450790175654154</v>
      </c>
    </row>
    <row r="44" spans="2:4" ht="12.75">
      <c r="B44" s="42">
        <f t="shared" si="2"/>
        <v>3400</v>
      </c>
      <c r="C44" s="15">
        <f t="shared" si="3"/>
        <v>0.029344084829136398</v>
      </c>
      <c r="D44" s="16">
        <f t="shared" si="4"/>
        <v>9.390107145323647</v>
      </c>
    </row>
    <row r="45" spans="2:6" ht="12.75">
      <c r="B45" s="42">
        <f t="shared" si="2"/>
        <v>3500</v>
      </c>
      <c r="C45" s="15">
        <f t="shared" si="3"/>
        <v>0.029151318300590208</v>
      </c>
      <c r="D45" s="16">
        <f t="shared" si="4"/>
        <v>9.328421856188866</v>
      </c>
      <c r="F45" s="43"/>
    </row>
    <row r="46" spans="2:6" ht="12.75">
      <c r="B46" s="42">
        <f t="shared" si="2"/>
        <v>3600</v>
      </c>
      <c r="C46" s="15">
        <f t="shared" si="3"/>
        <v>0.02895559039925611</v>
      </c>
      <c r="D46" s="16">
        <f t="shared" si="4"/>
        <v>9.265788927761957</v>
      </c>
      <c r="F46" s="43"/>
    </row>
    <row r="47" spans="2:6" ht="12.75">
      <c r="B47" s="42">
        <f t="shared" si="2"/>
        <v>3700</v>
      </c>
      <c r="C47" s="15">
        <f t="shared" si="3"/>
        <v>0.02875707066008929</v>
      </c>
      <c r="D47" s="16">
        <f t="shared" si="4"/>
        <v>9.202262611228573</v>
      </c>
      <c r="F47" s="43"/>
    </row>
    <row r="48" spans="2:6" ht="12.75">
      <c r="B48" s="42">
        <f t="shared" si="2"/>
        <v>3800</v>
      </c>
      <c r="C48" s="15">
        <f t="shared" si="3"/>
        <v>0.028555927188912276</v>
      </c>
      <c r="D48" s="16">
        <f t="shared" si="4"/>
        <v>9.137896700451929</v>
      </c>
      <c r="F48" s="43"/>
    </row>
    <row r="49" spans="2:6" ht="12.75">
      <c r="B49" s="42">
        <f t="shared" si="2"/>
        <v>3900</v>
      </c>
      <c r="C49" s="15">
        <f t="shared" si="3"/>
        <v>0.02835232639939738</v>
      </c>
      <c r="D49" s="16">
        <f t="shared" si="4"/>
        <v>9.07274444780716</v>
      </c>
      <c r="F49" s="43"/>
    </row>
    <row r="50" spans="2:6" ht="12.75">
      <c r="B50" s="42">
        <f t="shared" si="2"/>
        <v>4000</v>
      </c>
      <c r="C50" s="15">
        <f t="shared" si="3"/>
        <v>0.028146432765450525</v>
      </c>
      <c r="D50" s="16">
        <f t="shared" si="4"/>
        <v>9.006858484944168</v>
      </c>
      <c r="F50" s="43"/>
    </row>
    <row r="51" spans="2:6" ht="12.75">
      <c r="B51" s="42">
        <f t="shared" si="2"/>
        <v>4100</v>
      </c>
      <c r="C51" s="15">
        <f t="shared" si="3"/>
        <v>0.027938408589207403</v>
      </c>
      <c r="D51" s="16">
        <f t="shared" si="4"/>
        <v>8.940290748546369</v>
      </c>
      <c r="F51" s="43"/>
    </row>
    <row r="52" spans="2:6" ht="12.75">
      <c r="B52" s="42">
        <f t="shared" si="2"/>
        <v>4200</v>
      </c>
      <c r="C52" s="15">
        <f t="shared" si="3"/>
        <v>0.027728413784762502</v>
      </c>
      <c r="D52" s="16">
        <f t="shared" si="4"/>
        <v>8.873092411124</v>
      </c>
      <c r="F52" s="43"/>
    </row>
    <row r="53" spans="2:6" ht="12.75">
      <c r="B53" s="42">
        <f t="shared" si="2"/>
        <v>4300</v>
      </c>
      <c r="C53" s="15">
        <f t="shared" si="3"/>
        <v>0.027516605677665288</v>
      </c>
      <c r="D53" s="16">
        <f t="shared" si="4"/>
        <v>8.805313816852893</v>
      </c>
      <c r="F53" s="43"/>
    </row>
    <row r="54" spans="2:6" ht="12.75">
      <c r="B54" s="42">
        <f t="shared" si="2"/>
        <v>4400</v>
      </c>
      <c r="C54" s="15">
        <f t="shared" si="3"/>
        <v>0.027303138820137407</v>
      </c>
      <c r="D54" s="16">
        <f t="shared" si="4"/>
        <v>8.73700442244397</v>
      </c>
      <c r="F54" s="43"/>
    </row>
    <row r="55" spans="2:6" ht="12.75">
      <c r="B55" s="42">
        <f t="shared" si="2"/>
        <v>4500</v>
      </c>
      <c r="C55" s="15">
        <f t="shared" si="3"/>
        <v>0.027088164821889364</v>
      </c>
      <c r="D55" s="16">
        <f t="shared" si="4"/>
        <v>8.668212743004597</v>
      </c>
      <c r="F55" s="43"/>
    </row>
    <row r="56" spans="2:6" ht="12.75">
      <c r="B56" s="42">
        <f t="shared" si="2"/>
        <v>4600</v>
      </c>
      <c r="C56" s="15">
        <f t="shared" si="3"/>
        <v>0.02687183219634568</v>
      </c>
      <c r="D56" s="16">
        <f t="shared" si="4"/>
        <v>8.598986302830617</v>
      </c>
      <c r="F56" s="43"/>
    </row>
    <row r="57" spans="2:4" ht="12.75">
      <c r="B57" s="42">
        <f t="shared" si="2"/>
        <v>4700</v>
      </c>
      <c r="C57" s="15">
        <f t="shared" si="3"/>
        <v>0.02665428622202402</v>
      </c>
      <c r="D57" s="16">
        <f t="shared" si="4"/>
        <v>8.529371591047687</v>
      </c>
    </row>
    <row r="58" spans="2:4" ht="12.75">
      <c r="B58" s="42">
        <f t="shared" si="2"/>
        <v>4800</v>
      </c>
      <c r="C58" s="15">
        <f t="shared" si="3"/>
        <v>0.026435668818755673</v>
      </c>
      <c r="D58" s="16">
        <f t="shared" si="4"/>
        <v>8.459414022001816</v>
      </c>
    </row>
    <row r="59" spans="2:4" ht="12.75">
      <c r="B59" s="42">
        <f t="shared" si="2"/>
        <v>4900</v>
      </c>
      <c r="C59" s="15">
        <f t="shared" si="3"/>
        <v>0.026216118438383215</v>
      </c>
      <c r="D59" s="16">
        <f t="shared" si="4"/>
        <v>8.38915790028263</v>
      </c>
    </row>
    <row r="60" spans="2:4" ht="12.75">
      <c r="B60" s="42">
        <f t="shared" si="2"/>
        <v>5000</v>
      </c>
      <c r="C60" s="15">
        <f t="shared" si="3"/>
        <v>0.02599576996952488</v>
      </c>
      <c r="D60" s="16">
        <f t="shared" si="4"/>
        <v>8.318646390247961</v>
      </c>
    </row>
    <row r="61" spans="2:4" ht="12.75">
      <c r="B61" s="42">
        <f t="shared" si="2"/>
        <v>5100</v>
      </c>
      <c r="C61" s="15">
        <f t="shared" si="3"/>
        <v>0.02577475465595486</v>
      </c>
      <c r="D61" s="16">
        <f t="shared" si="4"/>
        <v>8.247921489905554</v>
      </c>
    </row>
    <row r="62" spans="2:4" ht="12.75">
      <c r="B62" s="42">
        <f t="shared" si="2"/>
        <v>5200</v>
      </c>
      <c r="C62" s="15">
        <f t="shared" si="3"/>
        <v>0.025553200028114238</v>
      </c>
      <c r="D62" s="16">
        <f t="shared" si="4"/>
        <v>8.177024008996556</v>
      </c>
    </row>
    <row r="63" spans="2:4" ht="12.75">
      <c r="B63" s="42">
        <f t="shared" si="2"/>
        <v>5300</v>
      </c>
      <c r="C63" s="15">
        <f t="shared" si="3"/>
        <v>0.025331229847237475</v>
      </c>
      <c r="D63" s="16">
        <f t="shared" si="4"/>
        <v>8.105993551115992</v>
      </c>
    </row>
    <row r="64" spans="2:4" ht="12.75">
      <c r="B64" s="42">
        <f t="shared" si="2"/>
        <v>5400</v>
      </c>
      <c r="C64" s="15">
        <f t="shared" si="3"/>
        <v>0.02510896406155575</v>
      </c>
      <c r="D64" s="16">
        <f t="shared" si="4"/>
        <v>8.03486849969784</v>
      </c>
    </row>
    <row r="65" spans="2:4" ht="12.75">
      <c r="B65" s="42">
        <f t="shared" si="2"/>
        <v>5500</v>
      </c>
      <c r="C65" s="15">
        <f t="shared" si="3"/>
        <v>0.024886518774018738</v>
      </c>
      <c r="D65" s="16">
        <f t="shared" si="4"/>
        <v>7.963686007685996</v>
      </c>
    </row>
    <row r="66" spans="2:4" ht="12.75">
      <c r="B66" s="42">
        <f t="shared" si="2"/>
        <v>5600</v>
      </c>
      <c r="C66" s="15">
        <f t="shared" si="3"/>
        <v>0.024664006220962185</v>
      </c>
      <c r="D66" s="16">
        <f t="shared" si="4"/>
        <v>7.892481990707899</v>
      </c>
    </row>
    <row r="67" spans="2:4" ht="12.75">
      <c r="B67" s="42">
        <f t="shared" si="2"/>
        <v>5700</v>
      </c>
      <c r="C67" s="15">
        <f t="shared" si="3"/>
        <v>0.02444153476113839</v>
      </c>
      <c r="D67" s="16">
        <f t="shared" si="4"/>
        <v>7.821291123564285</v>
      </c>
    </row>
    <row r="68" spans="2:4" ht="12.75">
      <c r="B68" s="42">
        <f t="shared" si="2"/>
        <v>5800</v>
      </c>
      <c r="C68" s="15">
        <f t="shared" si="3"/>
        <v>0.024219208874520493</v>
      </c>
      <c r="D68" s="16">
        <f t="shared" si="4"/>
        <v>7.750146839846558</v>
      </c>
    </row>
    <row r="69" spans="2:4" ht="12.75">
      <c r="B69" s="42">
        <f t="shared" si="2"/>
        <v>5900</v>
      </c>
      <c r="C69" s="15">
        <f t="shared" si="3"/>
        <v>0.023997129170289514</v>
      </c>
      <c r="D69" s="16">
        <f t="shared" si="4"/>
        <v>7.679081334492644</v>
      </c>
    </row>
    <row r="70" spans="2:4" ht="12.75">
      <c r="B70" s="42">
        <f t="shared" si="2"/>
        <v>6000</v>
      </c>
      <c r="C70" s="15">
        <f t="shared" si="3"/>
        <v>0.023775392403413916</v>
      </c>
      <c r="D70" s="16">
        <f t="shared" si="4"/>
        <v>7.608125569092453</v>
      </c>
    </row>
    <row r="71" spans="2:4" ht="12.75">
      <c r="B71" s="42">
        <f t="shared" si="2"/>
        <v>6100</v>
      </c>
      <c r="C71" s="15">
        <f t="shared" si="3"/>
        <v>0.023554091499236145</v>
      </c>
      <c r="D71" s="16">
        <f t="shared" si="4"/>
        <v>7.537309279755567</v>
      </c>
    </row>
    <row r="72" spans="2:4" ht="12.75">
      <c r="B72" s="42">
        <f t="shared" si="2"/>
        <v>6200</v>
      </c>
      <c r="C72" s="15">
        <f t="shared" si="3"/>
        <v>0.02333331558548768</v>
      </c>
      <c r="D72" s="16">
        <f t="shared" si="4"/>
        <v>7.466660987356057</v>
      </c>
    </row>
    <row r="73" spans="2:4" ht="12.75">
      <c r="B73" s="42">
        <f t="shared" si="2"/>
        <v>6300</v>
      </c>
      <c r="C73" s="15">
        <f t="shared" si="3"/>
        <v>0.023113150031164</v>
      </c>
      <c r="D73" s="16">
        <f t="shared" si="4"/>
        <v>7.39620800997248</v>
      </c>
    </row>
    <row r="74" spans="2:4" ht="12.75">
      <c r="B74" s="42">
        <f t="shared" si="2"/>
        <v>6400</v>
      </c>
      <c r="C74" s="15">
        <f t="shared" si="3"/>
        <v>0.022893676491702996</v>
      </c>
      <c r="D74" s="16">
        <f t="shared" si="4"/>
        <v>7.325976477344959</v>
      </c>
    </row>
    <row r="75" spans="2:4" ht="12.75">
      <c r="B75" s="42">
        <f t="shared" si="2"/>
        <v>6500</v>
      </c>
      <c r="C75" s="15">
        <f>2000*$D$7*$D$8*10^-9/(1+(2*3.1459*B75*$D$7*$D$8*10^-9)^2)</f>
        <v>0.022674972959924326</v>
      </c>
      <c r="D75" s="16">
        <f>C75*$F$11/1000</f>
        <v>7.255991347175785</v>
      </c>
    </row>
    <row r="76" spans="2:4" ht="12.75">
      <c r="B76" s="42">
        <f t="shared" si="2"/>
        <v>6600</v>
      </c>
      <c r="C76" s="15">
        <f>2000*$D$7*$D$8*10^-9/(1+(2*3.1459*B76*$D$7*$D$8*10^-9)^2)</f>
        <v>0.02245711382220314</v>
      </c>
      <c r="D76" s="16">
        <f>C76*$F$11/1000</f>
        <v>7.186276423105005</v>
      </c>
    </row>
    <row r="77" spans="2:4" ht="12.75">
      <c r="B77" s="42">
        <f>100+B76</f>
        <v>6700</v>
      </c>
      <c r="C77" s="15">
        <f>2000*$D$7*$D$8*10^-9/(1+(2*3.1459*B77*$D$7*$D$8*10^-9)^2)</f>
        <v>0.022240169919368846</v>
      </c>
      <c r="D77" s="16">
        <f>C77*$F$11/1000</f>
        <v>7.11685437419803</v>
      </c>
    </row>
    <row r="78" spans="2:4" ht="12.75">
      <c r="B78" s="42">
        <f>100+B77</f>
        <v>6800</v>
      </c>
      <c r="C78" s="15">
        <f>2000*$D$7*$D$8*10^-9/(1+(2*3.1459*B78*$D$7*$D$8*10^-9)^2)</f>
        <v>0.022024208611837938</v>
      </c>
      <c r="D78" s="16">
        <f>C78*$F$11/1000</f>
        <v>7.04774675578814</v>
      </c>
    </row>
  </sheetData>
  <mergeCells count="1">
    <mergeCell ref="F45:F56"/>
  </mergeCell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Elllis</dc:creator>
  <cp:keywords/>
  <dc:description/>
  <cp:lastModifiedBy>Bob Elllis</cp:lastModifiedBy>
  <dcterms:created xsi:type="dcterms:W3CDTF">2006-02-19T16:24:00Z</dcterms:created>
  <dcterms:modified xsi:type="dcterms:W3CDTF">2006-04-15T00:33:38Z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